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<sst xmlns="http://schemas.openxmlformats.org/spreadsheetml/2006/main" count="35" uniqueCount="35">
  <si>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</si>
  <si>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</si>
  <si>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</si>
  <si>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</si>
  <si>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</si>
  <si>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</si>
  <si>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</si>
  <si>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</si>
  <si>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</si>
  <si>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</si>
  <si>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</si>
  <si>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</si>
  <si>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</si>
  <si>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</si>
  <si>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</si>
  <si>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</si>
  <si>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</si>
  <si>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</si>
  <si>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</si>
  <si>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</si>
  <si>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</si>
  <si>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</si>
  <si>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</si>
  <si>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</si>
  <si>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</si>
  <si>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</si>
  <si>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</si>
  <si>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</si>
  <si>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47260,00 - ремонт кровли (1,2 подъезд кв.35,36).                                                                           41277,00 - ремонт кровли (кв.33,34,102,103).</t>
  </si>
  <si>
    <t>2564,00 - дезинсекция в подвале.</t>
  </si>
  <si>
    <t xml:space="preserve">33773,00 - замена блоков питания, преобразователя избыт. давления (узел учета).     7650,00 - ремонт цоколя (материалы).                              26375,00 - окраска газовых труб.                                             </t>
  </si>
  <si>
    <t>1717,00 - прочистка вентиляционных каналов (кв. 33).                                                                                24006,00 - ремонт ограждения балкона (кв.  171), изготовление и установка дверей выхода на крышу  - 2 шт.</t>
  </si>
  <si>
    <t xml:space="preserve">14981,00 - замена блока питания, преобразователя избыточного давления  (узел учета тепла).                                                                     420,00 - замена крана шарового ГВС   д-15  мм          (подвал).                                                                  </t>
  </si>
  <si>
    <t>35000,00 - строительно-техническое обследование (экспертиза).</t>
  </si>
  <si>
    <t>431,00 - замена крана шарового ГВС (1 подъезд сброс).                                                                        53544,00 - ремонт кровли (кв. 177-180).                    12040,00 - ремонт и поверка теплосчетчика.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</si>
</sst>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I26" sqref="I25:J26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1968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VLOOKUP(A1,'[1]2021'!$A$1:$AH$99,2,0)</f>
        <v>Магистральный проезд д.8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4" t="s">
        <v>18</v>
      </c>
    </row>
    <row r="5" spans="1:5" ht="15.75" customHeight="1">
      <c r="A5" s="30" t="s">
        <v>21</v>
      </c>
      <c r="B5" s="30"/>
      <c r="C5" s="30"/>
      <c r="D5" s="30"/>
      <c r="E5" s="15" t="s">
        <v>22</v>
      </c>
    </row>
    <row r="6" spans="1:5" ht="15" customHeight="1">
      <c r="A6" s="22" t="s">
        <v>17</v>
      </c>
      <c r="B6" s="22"/>
      <c r="C6" s="22"/>
      <c r="D6" s="22"/>
      <c r="E6" s="16">
        <f>VLOOKUP(A1,'[1]2021'!$A$1:$AH$101,3,0)</f>
        <v>7504.2</v>
      </c>
    </row>
    <row r="7" spans="1:5" ht="33" customHeight="1">
      <c r="A7" s="22" t="s">
        <v>27</v>
      </c>
      <c r="B7" s="22"/>
      <c r="C7" s="22"/>
      <c r="D7" s="22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8">
        <f>VLOOKUP(A1,'[1]2021'!$A$1:$AH$101,4,0)</f>
        <v>522226.8999999999</v>
      </c>
    </row>
    <row r="11" spans="1:5" ht="15.75">
      <c r="A11" s="3">
        <v>1</v>
      </c>
      <c r="B11" s="9" t="s">
        <v>4</v>
      </c>
      <c r="C11" s="5">
        <f>VLOOKUP(A1,'[1]2021'!$A$1:$AH$101,5,0)</f>
        <v>17131.15</v>
      </c>
      <c r="D11" s="5">
        <f>VLOOKUP(A1,'[1]2021'!$A$1:$AH$101,18,0)</f>
        <v>0</v>
      </c>
      <c r="E11" s="7"/>
    </row>
    <row r="12" spans="1:5" ht="15.75">
      <c r="A12" s="3">
        <v>2</v>
      </c>
      <c r="B12" s="9" t="s">
        <v>5</v>
      </c>
      <c r="C12" s="5">
        <f>VLOOKUP(A1,'[1]2021'!$A$1:$AH$101,6,0)</f>
        <v>18351.3</v>
      </c>
      <c r="D12" s="5">
        <f>VLOOKUP(A1,'[1]2021'!$A$1:$AH$101,19,0)</f>
        <v>0</v>
      </c>
      <c r="E12" s="7"/>
    </row>
    <row r="13" spans="1:5" ht="47.25">
      <c r="A13" s="3">
        <v>3</v>
      </c>
      <c r="B13" s="9" t="s">
        <v>6</v>
      </c>
      <c r="C13" s="5">
        <f>VLOOKUP(A1,'[1]2021'!$A$1:$AH$101,7,0)</f>
        <v>20832.72</v>
      </c>
      <c r="D13" s="5">
        <f>VLOOKUP(A1,'[1]2021'!$A$1:$AH$101,20,0)</f>
        <v>88537</v>
      </c>
      <c r="E13" s="7" t="s">
        <v>28</v>
      </c>
    </row>
    <row r="14" spans="1:5" ht="15.75">
      <c r="A14" s="3">
        <v>4</v>
      </c>
      <c r="B14" s="9" t="s">
        <v>7</v>
      </c>
      <c r="C14" s="5">
        <f>VLOOKUP(A1,'[1]2021'!$A$1:$AH$101,8,0)</f>
        <v>18169.91</v>
      </c>
      <c r="D14" s="5">
        <f>VLOOKUP(A1,'[1]2021'!$A$1:$AH$101,21,0)</f>
        <v>0</v>
      </c>
      <c r="E14" s="7"/>
    </row>
    <row r="15" spans="1:5" ht="15.75">
      <c r="A15" s="3">
        <v>5</v>
      </c>
      <c r="B15" s="9" t="s">
        <v>8</v>
      </c>
      <c r="C15" s="5">
        <f>VLOOKUP(A1,'[1]2021'!$A$1:$AH$101,9,0)</f>
        <v>22858.71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18244.010000000002</v>
      </c>
      <c r="D16" s="5">
        <f>VLOOKUP(A1,'[1]2021'!$A$1:$AH$101,23,0)</f>
        <v>2564</v>
      </c>
      <c r="E16" s="7" t="s">
        <v>29</v>
      </c>
    </row>
    <row r="17" spans="1:5" ht="15.75">
      <c r="A17" s="3">
        <v>7</v>
      </c>
      <c r="B17" s="9" t="s">
        <v>10</v>
      </c>
      <c r="C17" s="5">
        <f>VLOOKUP(A1,'[1]2021'!$A$1:$AH$101,11,0)</f>
        <v>21182.82</v>
      </c>
      <c r="D17" s="5">
        <f>VLOOKUP(A1,'[1]2021'!$A$1:$AH$101,24,0)</f>
        <v>0</v>
      </c>
      <c r="E17" s="7"/>
    </row>
    <row r="18" spans="1:5" ht="63.75" customHeight="1">
      <c r="A18" s="3">
        <v>8</v>
      </c>
      <c r="B18" s="9" t="s">
        <v>11</v>
      </c>
      <c r="C18" s="5">
        <f>VLOOKUP(A1,'[1]2021'!$A$1:$AH$101,12,0)</f>
        <v>19195.33</v>
      </c>
      <c r="D18" s="5">
        <f>VLOOKUP(A1,'[1]2021'!$A$1:$AH$102,25,0)</f>
        <v>67798</v>
      </c>
      <c r="E18" s="7" t="s">
        <v>30</v>
      </c>
    </row>
    <row r="19" spans="1:5" ht="78.75">
      <c r="A19" s="3">
        <v>9</v>
      </c>
      <c r="B19" s="9" t="s">
        <v>12</v>
      </c>
      <c r="C19" s="5">
        <f>VLOOKUP(A1,'[1]2021'!$A$1:$AH$101,13,0)</f>
        <v>23108.46</v>
      </c>
      <c r="D19" s="5">
        <f>VLOOKUP(A1,'[1]2021'!$A$1:$AH$101,26,0)</f>
        <v>25723</v>
      </c>
      <c r="E19" s="7" t="s">
        <v>31</v>
      </c>
    </row>
    <row r="20" spans="1:5" ht="78.75">
      <c r="A20" s="3">
        <v>10</v>
      </c>
      <c r="B20" s="9" t="s">
        <v>13</v>
      </c>
      <c r="C20" s="5">
        <f>VLOOKUP(A1,'[1]2021'!$A$1:$AH$101,14,0)</f>
        <v>21846.21</v>
      </c>
      <c r="D20" s="5">
        <f>VLOOKUP(A1,'[1]2021'!$A$1:$AH$101,27,0)</f>
        <v>15401</v>
      </c>
      <c r="E20" s="7" t="s">
        <v>32</v>
      </c>
    </row>
    <row r="21" spans="1:5" ht="31.5">
      <c r="A21" s="3">
        <v>11</v>
      </c>
      <c r="B21" s="9" t="s">
        <v>14</v>
      </c>
      <c r="C21" s="5">
        <f>VLOOKUP(A1,'[1]2021'!$A$1:$AH$101,15,0)</f>
        <v>19592.07</v>
      </c>
      <c r="D21" s="5">
        <f>VLOOKUP(A1,'[1]2021'!$A$1:$AH$101,28,0)</f>
        <v>35000</v>
      </c>
      <c r="E21" s="7" t="s">
        <v>33</v>
      </c>
    </row>
    <row r="22" spans="1:5" ht="63">
      <c r="A22" s="3">
        <v>12</v>
      </c>
      <c r="B22" s="9" t="s">
        <v>15</v>
      </c>
      <c r="C22" s="5">
        <f>VLOOKUP(A1,'[1]2021'!$A$1:$AH$101,16,0)</f>
        <v>23587.82</v>
      </c>
      <c r="D22" s="5">
        <f>VLOOKUP(A1,'[1]2021'!$A$1:$AH$101,29,0)</f>
        <v>66415</v>
      </c>
      <c r="E22" s="7" t="s">
        <v>34</v>
      </c>
    </row>
    <row r="23" spans="1:5" ht="15.75">
      <c r="A23" s="23" t="s">
        <v>16</v>
      </c>
      <c r="B23" s="24"/>
      <c r="C23" s="6">
        <f>SUM(C11:C22)</f>
        <v>244100.51</v>
      </c>
      <c r="D23" s="6">
        <f>SUM(D11:D22)</f>
        <v>301438</v>
      </c>
      <c r="E23" s="8"/>
    </row>
    <row r="24" spans="1:5" ht="15.75">
      <c r="A24" s="20" t="s">
        <v>25</v>
      </c>
      <c r="B24" s="21"/>
      <c r="C24" s="21"/>
      <c r="D24" s="21"/>
      <c r="E24" s="13">
        <f>E10+C23-D23</f>
        <v>464889.4099999999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2022-02-10T07:46:16Z</dcterms:modified>
  <cp:category/>
  <cp:version/>
  <cp:contentType/>
  <cp:contentStatus/>
</cp:coreProperties>
</file>