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<sst xmlns="http://schemas.openxmlformats.org/spreadsheetml/2006/main" count="35" uniqueCount="35">
  <si>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</si>
  <si>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</si>
  <si>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</si>
  <si>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</si>
  <si>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</si>
  <si>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</si>
  <si>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</si>
  <si>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</si>
  <si>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</si>
  <si>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</si>
  <si>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</si>
  <si>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</si>
  <si>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</si>
  <si>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</si>
  <si>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</si>
  <si>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</si>
  <si>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</si>
  <si>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</si>
  <si>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</si>
  <si>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</si>
  <si>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</si>
  <si>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</si>
  <si>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</si>
  <si>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</si>
  <si>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</si>
  <si>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</si>
  <si>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</si>
  <si>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504,00 - замена шарового крана по стояку ГВС (кв. 89).                                                      1658,00 - ремонт стояка канализации кв. 92.</t>
  </si>
  <si>
    <t>562,00 - замена сбросного крана в подвале (ГВС в подвале).</t>
  </si>
  <si>
    <t>511,00 - замена электропатрона в подвале.                                                                            413218,00 - смена трубопровода ГВС в подвале (316 п. м.).</t>
  </si>
  <si>
    <t>2301,00 - ремонт трубопровода стояка канализации кв. 42.</t>
  </si>
  <si>
    <t>801,00 - замена шарового крана на стояке ХВС в подвале.</t>
  </si>
  <si>
    <t>2983,00 - ремонт трубопровода ГВС стояк кв. 17-20.                                                                 2846,00 - дезинсекция.</t>
  </si>
  <si>
    <t>550,00 - замена шарового крана в тепловом узле (2 подъезд).</t>
  </si>
  <si>
    <t>4182,00 - ремонт трубопровода канализации (стояк кв. 63).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</si>
</sst>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8">
      <selection activeCell="H19" sqref="H19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610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24</v>
      </c>
      <c r="B3" s="28"/>
      <c r="C3" s="28"/>
      <c r="D3" s="28"/>
      <c r="E3" s="28"/>
    </row>
    <row r="4" spans="1:5" ht="18.75" customHeight="1">
      <c r="A4" s="29" t="s">
        <v>25</v>
      </c>
      <c r="B4" s="30"/>
      <c r="C4" s="30"/>
      <c r="D4" s="30"/>
      <c r="E4" s="30"/>
    </row>
    <row r="5" spans="1:5" ht="30.75" customHeight="1">
      <c r="A5" s="25" t="str">
        <f>VLOOKUP(A1,'[1]2019'!$A$1:$AH$99,2,0)</f>
        <v>Магистральный проезд д.12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5560.7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15403.139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VLOOKUP(A1,'[2]2020'!$A$1:$AH$101,4,0)</f>
        <v>121344.4500000001</v>
      </c>
    </row>
    <row r="12" spans="1:5" ht="63">
      <c r="A12" s="3">
        <v>1</v>
      </c>
      <c r="B12" s="12" t="s">
        <v>4</v>
      </c>
      <c r="C12" s="8">
        <f>VLOOKUP(A1,'[2]2020'!$A$1:$AH$101,5,0)</f>
        <v>16782.05</v>
      </c>
      <c r="D12" s="8">
        <f>VLOOKUP(A1,'[2]2020'!$A$1:$AH$101,18,0)</f>
        <v>2162</v>
      </c>
      <c r="E12" s="10" t="s">
        <v>27</v>
      </c>
    </row>
    <row r="13" spans="1:5" ht="33" customHeight="1">
      <c r="A13" s="3">
        <v>2</v>
      </c>
      <c r="B13" s="12" t="s">
        <v>5</v>
      </c>
      <c r="C13" s="8">
        <f>VLOOKUP(A1,'[2]2020'!$A$1:$AH$101,6,0)</f>
        <v>12185.82</v>
      </c>
      <c r="D13" s="8">
        <f>VLOOKUP(A1,'[2]2020'!$A$1:$AH$101,19,0)</f>
        <v>562</v>
      </c>
      <c r="E13" s="10" t="s">
        <v>28</v>
      </c>
    </row>
    <row r="14" spans="1:5" ht="63" customHeight="1">
      <c r="A14" s="3">
        <v>3</v>
      </c>
      <c r="B14" s="12" t="s">
        <v>6</v>
      </c>
      <c r="C14" s="8">
        <f>VLOOKUP(A1,'[2]2020'!$A$1:$AH$101,7,0)</f>
        <v>13566.03</v>
      </c>
      <c r="D14" s="8">
        <f>VLOOKUP(A1,'[2]2020'!$A$1:$AH$101,20,0)</f>
        <v>413792</v>
      </c>
      <c r="E14" s="10" t="s">
        <v>29</v>
      </c>
    </row>
    <row r="15" spans="1:5" ht="15.75">
      <c r="A15" s="3">
        <v>4</v>
      </c>
      <c r="B15" s="4" t="s">
        <v>7</v>
      </c>
      <c r="C15" s="8">
        <f>VLOOKUP(A1,'[2]2020'!$A$1:$AH$101,8,0)</f>
        <v>13449.18</v>
      </c>
      <c r="D15" s="8">
        <f>VLOOKUP(A1,'[2]2020'!$A$1:$AH$101,21,0)</f>
        <v>0</v>
      </c>
      <c r="E15" s="10"/>
    </row>
    <row r="16" spans="1:5" ht="31.5">
      <c r="A16" s="3">
        <v>5</v>
      </c>
      <c r="B16" s="12" t="s">
        <v>8</v>
      </c>
      <c r="C16" s="8">
        <f>VLOOKUP(A1,'[2]2020'!$A$1:$AH$101,9,0)</f>
        <v>16297.390000000001</v>
      </c>
      <c r="D16" s="8">
        <f>VLOOKUP(A1,'[2]2020'!$A$1:$AH$101,22,0)</f>
        <v>2301</v>
      </c>
      <c r="E16" s="10" t="s">
        <v>30</v>
      </c>
    </row>
    <row r="17" spans="1:5" ht="31.5">
      <c r="A17" s="3">
        <v>6</v>
      </c>
      <c r="B17" s="12" t="s">
        <v>9</v>
      </c>
      <c r="C17" s="8">
        <f>VLOOKUP(A1,'[2]2020'!$A$1:$AH$101,10,0)</f>
        <v>10806.300000000001</v>
      </c>
      <c r="D17" s="8">
        <f>VLOOKUP(A1,'[2]2020'!$A$1:$AH$101,23,0)</f>
        <v>801</v>
      </c>
      <c r="E17" s="10" t="s">
        <v>31</v>
      </c>
    </row>
    <row r="18" spans="1:5" ht="15.75">
      <c r="A18" s="3">
        <v>7</v>
      </c>
      <c r="B18" s="4" t="s">
        <v>10</v>
      </c>
      <c r="C18" s="8">
        <f>VLOOKUP(A1,'[2]2020'!$A$1:$AH$101,11,0)</f>
        <v>15551.06</v>
      </c>
      <c r="D18" s="8">
        <f>VLOOKUP(A1,'[2]2020'!$A$1:$AH$101,24,0)</f>
        <v>0</v>
      </c>
      <c r="E18" s="10"/>
    </row>
    <row r="19" spans="1:5" ht="47.25">
      <c r="A19" s="3">
        <v>8</v>
      </c>
      <c r="B19" s="12" t="s">
        <v>11</v>
      </c>
      <c r="C19" s="8">
        <f>VLOOKUP(A1,'[2]2020'!$A$1:$AH$101,12,0)</f>
        <v>14409.460000000001</v>
      </c>
      <c r="D19" s="8">
        <f>VLOOKUP(A1,'[2]2020'!$A$1:$AH$102,25,0)</f>
        <v>5829</v>
      </c>
      <c r="E19" s="10" t="s">
        <v>32</v>
      </c>
    </row>
    <row r="20" spans="1:5" ht="15.75">
      <c r="A20" s="3">
        <v>9</v>
      </c>
      <c r="B20" s="4" t="s">
        <v>12</v>
      </c>
      <c r="C20" s="8">
        <f>VLOOKUP(A1,'[2]2020'!$A$1:$AH$101,13,0)</f>
        <v>14263.94</v>
      </c>
      <c r="D20" s="8">
        <f>VLOOKUP(A1,'[2]2020'!$A$1:$AH$101,26,0)</f>
        <v>0</v>
      </c>
      <c r="E20" s="10"/>
    </row>
    <row r="21" spans="1:5" ht="31.5">
      <c r="A21" s="3">
        <v>10</v>
      </c>
      <c r="B21" s="12" t="s">
        <v>13</v>
      </c>
      <c r="C21" s="8">
        <f>VLOOKUP(A1,'[2]2020'!$A$1:$AH$101,14,0)</f>
        <v>12736.94</v>
      </c>
      <c r="D21" s="8">
        <f>VLOOKUP(A1,'[2]2020'!$A$1:$AH$101,27,0)</f>
        <v>550</v>
      </c>
      <c r="E21" s="10" t="s">
        <v>33</v>
      </c>
    </row>
    <row r="22" spans="1:5" ht="33" customHeight="1">
      <c r="A22" s="3">
        <v>11</v>
      </c>
      <c r="B22" s="12" t="s">
        <v>14</v>
      </c>
      <c r="C22" s="8">
        <f>VLOOKUP(A1,'[2]2020'!$A$1:$AH$101,15,0)</f>
        <v>15462.48</v>
      </c>
      <c r="D22" s="8">
        <f>VLOOKUP(A1,'[2]2020'!$A$1:$AH$101,28,0)</f>
        <v>4182</v>
      </c>
      <c r="E22" s="10" t="s">
        <v>34</v>
      </c>
    </row>
    <row r="23" spans="1:5" ht="31.5" customHeight="1">
      <c r="A23" s="3">
        <v>12</v>
      </c>
      <c r="B23" s="12" t="s">
        <v>15</v>
      </c>
      <c r="C23" s="8">
        <f>VLOOKUP(A1,'[2]2020'!$A$1:$AH$101,16,0)</f>
        <v>17134.14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172644.79000000004</v>
      </c>
      <c r="D24" s="9">
        <f>SUM(D12:D23)</f>
        <v>430179</v>
      </c>
      <c r="E24" s="11"/>
    </row>
    <row r="25" spans="1:5" ht="15.75">
      <c r="A25" s="19" t="s">
        <v>26</v>
      </c>
      <c r="B25" s="20"/>
      <c r="C25" s="20"/>
      <c r="D25" s="20"/>
      <c r="E25" s="17">
        <f>E11+C24-D24</f>
        <v>-136189.7599999999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2021-02-25T11:00:44Z</dcterms:modified>
  <cp:category/>
  <cp:version/>
  <cp:contentType/>
  <cp:contentStatus/>
</cp:coreProperties>
</file>