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<sst xmlns="http://schemas.openxmlformats.org/spreadsheetml/2006/main" count="38" uniqueCount="38">
  <si>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</si>
  <si>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</si>
  <si>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</si>
  <si>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</si>
  <si>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</si>
  <si>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</si>
  <si>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</si>
  <si>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</si>
  <si>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</si>
  <si>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</si>
  <si>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</si>
  <si>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</si>
  <si>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</si>
  <si>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</si>
  <si>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</si>
  <si>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</si>
  <si>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</si>
  <si>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</si>
  <si>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</si>
  <si>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</si>
  <si>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</si>
  <si>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</si>
  <si>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</si>
  <si>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</si>
  <si>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</si>
  <si>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1912,00 – ремонт узла учета ХВС.
6528,00 – ремонт трубопровода внутреннего водостока 2-го подъезда.
4218,00 – ремонт кровли балкона кв. 177.</t>
  </si>
  <si>
    <t>2745,00 - ремонт трубопровода внутреннего водостока 5-го подъезда.
5991,00 – ремонт трубопровода внутреннего водостока 2-го подъезда (чердак).
4951,00 – ремонт трубопровода внутреннего водостока 8-го подъезда.
752,00 – ремонт трубопровода ГВС.
2293,00 – ремонт трубопровода ХВС.
1461,00 – ремонт трубопровода отопления на лестничной площадке 6-го подъезда.
966,00 – ремонт трубопровода отопления на лестничной площадке 3-го подъезда.
4765,00 – ремонт кровли кв. 58.</t>
  </si>
  <si>
    <t>73569,00 – ремонт трубопровода ГВС.
304,00 – замена автоматического клапана.
279,00 – ремонт трубопровода канализации.
207983,00 – утепление трубопровода отопления.
5065,00 – ремонт трубопровода ГВС 1-4 подъезды.
50000,00 – бестраншейная замена трубопровода водоотведения во 2-ом подъезде.</t>
  </si>
  <si>
    <t>2147,00 – замена кранов ГВС.
822,00 – ремонт трубопровода канализации кв. 155.
4462,00 – ремонт трубопровода внутреннего водостока 6-го подъезда.
4483,00 - ремонт трубопровода внутреннего водостока 5-го подъезда.</t>
  </si>
  <si>
    <t>1641,00 – ремонт трубопровода канализации.
5520,00 – прокладка трубопровода для полива.
2147,00 – замена крана ГВС.</t>
  </si>
  <si>
    <t>3300,00 – дезинсекция блох.                                838,00 - ремонт трубопровода канализации кв. 151-155.</t>
  </si>
  <si>
    <t>592,00 - ремонт стояка канализации в кв. 111.                                                                       9426,00 - замена стояков в кв. 92, 96.                37051,00 - замена задвижек в тепловом узле 5-8 подъездов.                                                  8800,00 - дезинсекция блох.</t>
  </si>
  <si>
    <t>52029,00 - ремонт кровли кв. 107, 178.                 12222,00 - замена стояков ХВС и ГВС в кв. 158, 162, 166, 170.</t>
  </si>
  <si>
    <t xml:space="preserve">593,00 - ремонт участка трубопровода канализации в подвале.                                       1269,00 - ремонт трубопровода канализации в кв. 198.                                              119364,00 - ремонт откосов в подъездах после установки окон ПВХ.                                        10459,00 - замена стояков ХВС и ГВС кв. 87, 91.                                                             21125,00 - замена стояков ХВС и ГВС кв. 162, 166, 170.                                            25677,00 - ремонт кровли кв. 70, 71.              4667,00 - ремонт кровли кв. 171, 178 и шахты лифта.                                                         3500,00 - ремонт стыков стен, панелей кв. 7.                                                                     2498,00 - замена светильников в МОП.                  157758,00 ремонт 1х этажей 1-8 подъездов, 9 эт. - 1,3,4 подъездов, входная группа 3 подъезда.                                                        </t>
  </si>
  <si>
    <t xml:space="preserve">14500,00 - ремонт трубопровода ГВС, ХВС по стоякам кв. 90, 94.                           2301,00 - замена участка трубопровода канализации.                                                  6525,00 - замена ОПУ электроэнергии во ВРУ 3 подъезда.                                                                    </t>
  </si>
  <si>
    <t>1803,00 - замена стояка канализации в кв. 57.                                                                                      951,00 - замена участка стояка ХВС в кв. 269.                                                                         752,00 - установка светильника в МОП (8 подъезд, 6 этаж).                                                                  11706,00 - замена трубопровода (стояка) ХВС в кв. 127, 131, 135.                                              614148,00 - покраска и теплоизоляция трубопровода отопления в подвале дома.         40641,00 - замена трубопровода ГВС в подвале .                                                                            5980,00 - замена врезок в стояки, замена запорной арматуры в кв. 111.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</si>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</sst>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2102</v>
      </c>
      <c r="B1" s="23"/>
      <c r="C1" s="23"/>
      <c r="D1" s="23"/>
      <c r="E1" s="23"/>
    </row>
    <row r="2" spans="1:5" ht="24.75" customHeight="1">
      <c r="A2" s="25" t="s">
        <v>20</v>
      </c>
      <c r="B2" s="25"/>
      <c r="C2" s="25"/>
      <c r="D2" s="25"/>
      <c r="E2" s="25"/>
    </row>
    <row r="3" spans="1:5" ht="41.25" customHeight="1">
      <c r="A3" s="26" t="s">
        <v>37</v>
      </c>
      <c r="B3" s="27"/>
      <c r="C3" s="27"/>
      <c r="D3" s="27"/>
      <c r="E3" s="27"/>
    </row>
    <row r="4" spans="1:5" ht="18.75" customHeight="1">
      <c r="A4" s="28" t="s">
        <v>23</v>
      </c>
      <c r="B4" s="29"/>
      <c r="C4" s="29"/>
      <c r="D4" s="29"/>
      <c r="E4" s="29"/>
    </row>
    <row r="5" spans="1:5" ht="30.75" customHeight="1">
      <c r="A5" s="24" t="str">
        <f>VLOOKUP(A1,'[2]2019'!$A$1:$AH$99,2,0)</f>
        <v>ул.Черняховского д.18А</v>
      </c>
      <c r="B5" s="24"/>
      <c r="C5" s="24"/>
      <c r="D5" s="24"/>
      <c r="E5" s="24"/>
    </row>
    <row r="6" spans="1:5" ht="15.75" customHeight="1">
      <c r="A6" s="20" t="s">
        <v>17</v>
      </c>
      <c r="B6" s="20"/>
      <c r="C6" s="20"/>
      <c r="D6" s="20"/>
      <c r="E6" s="4">
        <f>VLOOKUP(A1,'[1]ТР 2018'!$A$1:$AH$101,3,0)</f>
        <v>15738.4</v>
      </c>
    </row>
    <row r="7" spans="1:5" ht="15" customHeight="1">
      <c r="A7" s="20" t="s">
        <v>18</v>
      </c>
      <c r="B7" s="20"/>
      <c r="C7" s="20"/>
      <c r="D7" s="20"/>
      <c r="E7" s="4">
        <v>2.77</v>
      </c>
    </row>
    <row r="8" spans="1:5" ht="33" customHeight="1">
      <c r="A8" s="20" t="s">
        <v>19</v>
      </c>
      <c r="B8" s="20"/>
      <c r="C8" s="20"/>
      <c r="D8" s="20"/>
      <c r="E8" s="14">
        <f>E7*E6</f>
        <v>43595.368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36</v>
      </c>
      <c r="C10" s="2" t="s">
        <v>2</v>
      </c>
      <c r="D10" s="2" t="s">
        <v>3</v>
      </c>
      <c r="E10" s="2" t="s">
        <v>0</v>
      </c>
    </row>
    <row r="11" spans="1:5" ht="15.75">
      <c r="A11" s="18" t="s">
        <v>22</v>
      </c>
      <c r="B11" s="19"/>
      <c r="C11" s="19"/>
      <c r="D11" s="19"/>
      <c r="E11" s="5">
        <f>VLOOKUP(A1,'[2]2019'!$A$1:$AH$101,4,0)</f>
        <v>516459.61</v>
      </c>
    </row>
    <row r="12" spans="1:5" ht="15.75">
      <c r="A12" s="3">
        <v>1</v>
      </c>
      <c r="B12" s="11" t="s">
        <v>4</v>
      </c>
      <c r="C12" s="7">
        <f>VLOOKUP(A1,'[2]2019'!$A$1:$AH$101,5,0)</f>
        <v>40950.14</v>
      </c>
      <c r="D12" s="7">
        <f>VLOOKUP(A1,'[2]2019'!$A$1:$AH$101,19,0)</f>
        <v>0</v>
      </c>
      <c r="E12" s="9"/>
    </row>
    <row r="13" spans="1:5" ht="65.25" customHeight="1">
      <c r="A13" s="3">
        <v>2</v>
      </c>
      <c r="B13" s="11" t="s">
        <v>5</v>
      </c>
      <c r="C13" s="7">
        <f>VLOOKUP(A1,'[2]2019'!$A$1:$AH$101,6,0)</f>
        <v>40613.58</v>
      </c>
      <c r="D13" s="7">
        <f>VLOOKUP(A1,'[2]2019'!$A$1:$AH$101,20,0)</f>
        <v>12658</v>
      </c>
      <c r="E13" s="9" t="s">
        <v>25</v>
      </c>
    </row>
    <row r="14" spans="1:5" ht="235.5" customHeight="1">
      <c r="A14" s="3">
        <v>3</v>
      </c>
      <c r="B14" s="11" t="s">
        <v>6</v>
      </c>
      <c r="C14" s="7">
        <f>VLOOKUP(A1,'[2]2019'!$A$1:$AH$101,7,0)</f>
        <v>38647.94</v>
      </c>
      <c r="D14" s="7">
        <f>VLOOKUP(A1,'[2]2019'!$A$1:$AH$101,21,0)</f>
        <v>23924</v>
      </c>
      <c r="E14" s="9" t="s">
        <v>26</v>
      </c>
    </row>
    <row r="15" spans="1:5" ht="189">
      <c r="A15" s="3">
        <v>4</v>
      </c>
      <c r="B15" s="11" t="s">
        <v>7</v>
      </c>
      <c r="C15" s="7">
        <f>VLOOKUP(A1,'[2]2019'!$A$1:$AH$101,8,0)</f>
        <v>43444.56</v>
      </c>
      <c r="D15" s="7">
        <f>VLOOKUP(A1,'[2]2019'!$A$1:$AH$101,22,0)</f>
        <v>337200</v>
      </c>
      <c r="E15" s="9" t="s">
        <v>27</v>
      </c>
    </row>
    <row r="16" spans="1:5" ht="111" customHeight="1">
      <c r="A16" s="3">
        <v>5</v>
      </c>
      <c r="B16" s="11" t="s">
        <v>8</v>
      </c>
      <c r="C16" s="7">
        <f>VLOOKUP(A1,'[2]2019'!$A$1:$AH$101,9,0)</f>
        <v>44578.27</v>
      </c>
      <c r="D16" s="7">
        <f>VLOOKUP(A1,'[2]2019'!$A$1:$AH$101,23,0)</f>
        <v>11914</v>
      </c>
      <c r="E16" s="9" t="s">
        <v>28</v>
      </c>
    </row>
    <row r="17" spans="1:5" ht="78.75">
      <c r="A17" s="3">
        <v>6</v>
      </c>
      <c r="B17" s="11" t="s">
        <v>9</v>
      </c>
      <c r="C17" s="7">
        <f>VLOOKUP(A1,'[2]2019'!$A$1:$AH$101,10,0)</f>
        <v>39395.9</v>
      </c>
      <c r="D17" s="7">
        <f>VLOOKUP(A1,'[2]2019'!$A$1:$AH$101,24,0)</f>
        <v>9308</v>
      </c>
      <c r="E17" s="9" t="s">
        <v>29</v>
      </c>
    </row>
    <row r="18" spans="1:5" ht="47.25">
      <c r="A18" s="3">
        <v>7</v>
      </c>
      <c r="B18" s="11" t="s">
        <v>10</v>
      </c>
      <c r="C18" s="7">
        <f>VLOOKUP(A1,'[2]2019'!$A$1:$AH$101,11,0)</f>
        <v>41485.649999999994</v>
      </c>
      <c r="D18" s="7">
        <f>VLOOKUP(A1,'[2]2019'!$A$1:$AH$101,25,0)</f>
        <v>4138</v>
      </c>
      <c r="E18" s="9" t="s">
        <v>30</v>
      </c>
    </row>
    <row r="19" spans="1:5" ht="94.5">
      <c r="A19" s="3">
        <v>8</v>
      </c>
      <c r="B19" s="11" t="s">
        <v>11</v>
      </c>
      <c r="C19" s="7">
        <f>VLOOKUP(A1,'[2]2019'!$A$1:$AH$101,12,0)</f>
        <v>40919.259999999995</v>
      </c>
      <c r="D19" s="7">
        <f>VLOOKUP(A1,'[2]2019'!$A$1:$AH$102,26,0)</f>
        <v>55869</v>
      </c>
      <c r="E19" s="9" t="s">
        <v>31</v>
      </c>
    </row>
    <row r="20" spans="1:5" ht="47.25">
      <c r="A20" s="3">
        <v>9</v>
      </c>
      <c r="B20" s="11" t="s">
        <v>12</v>
      </c>
      <c r="C20" s="7">
        <f>VLOOKUP(A1,'[2]2019'!$A$1:$AH$101,13,0)</f>
        <v>39247.92</v>
      </c>
      <c r="D20" s="7">
        <f>VLOOKUP(A1,'[2]2019'!$A$1:$AH$101,27,0)</f>
        <v>64251</v>
      </c>
      <c r="E20" s="9" t="s">
        <v>32</v>
      </c>
    </row>
    <row r="21" spans="1:5" ht="299.25">
      <c r="A21" s="3">
        <v>10</v>
      </c>
      <c r="B21" s="11" t="s">
        <v>13</v>
      </c>
      <c r="C21" s="7">
        <f>VLOOKUP(A1,'[2]2019'!$A$1:$AH$101,14,0)</f>
        <v>40196.15</v>
      </c>
      <c r="D21" s="7">
        <f>VLOOKUP(A1,'[2]2019'!$A$1:$AH$101,28,0)</f>
        <v>346910</v>
      </c>
      <c r="E21" s="9" t="s">
        <v>33</v>
      </c>
    </row>
    <row r="22" spans="1:5" ht="94.5">
      <c r="A22" s="3">
        <v>11</v>
      </c>
      <c r="B22" s="11" t="s">
        <v>14</v>
      </c>
      <c r="C22" s="7">
        <f>VLOOKUP(A1,'[2]2019'!$A$1:$AH$101,15,0)</f>
        <v>43740.270000000004</v>
      </c>
      <c r="D22" s="7">
        <f>VLOOKUP(A1,'[2]2019'!$A$1:$AH$101,29,0)</f>
        <v>23326</v>
      </c>
      <c r="E22" s="9" t="s">
        <v>34</v>
      </c>
    </row>
    <row r="23" spans="1:5" ht="219" customHeight="1">
      <c r="A23" s="3">
        <v>12</v>
      </c>
      <c r="B23" s="11" t="s">
        <v>15</v>
      </c>
      <c r="C23" s="7">
        <f>VLOOKUP(A1,'[2]2019'!$A$1:$AH$101,16,0)</f>
        <v>47493.950000000004</v>
      </c>
      <c r="D23" s="7">
        <f>VLOOKUP(A1,'[2]2019'!$A$1:$AH$101,30,0)</f>
        <v>675981</v>
      </c>
      <c r="E23" s="9" t="s">
        <v>35</v>
      </c>
    </row>
    <row r="24" spans="1:5" ht="15.75">
      <c r="A24" s="21" t="s">
        <v>16</v>
      </c>
      <c r="B24" s="22"/>
      <c r="C24" s="8">
        <f>SUM(C12:C23)</f>
        <v>500713.59</v>
      </c>
      <c r="D24" s="8">
        <f>SUM(D12:D23)</f>
        <v>1565479</v>
      </c>
      <c r="E24" s="10"/>
    </row>
    <row r="25" spans="1:5" ht="16.5" customHeight="1">
      <c r="A25" s="18" t="s">
        <v>24</v>
      </c>
      <c r="B25" s="19"/>
      <c r="C25" s="19"/>
      <c r="D25" s="19"/>
      <c r="E25" s="16">
        <f>E11+C24-D24</f>
        <v>-548305.8</v>
      </c>
    </row>
    <row r="29" spans="1:5" ht="18.75">
      <c r="A29" s="17" t="s">
        <v>21</v>
      </c>
      <c r="B29" s="17"/>
      <c r="C29" s="17"/>
      <c r="D29" s="17"/>
      <c r="E29" s="17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7"/>
      <c r="B32" s="17"/>
      <c r="C32" s="17"/>
      <c r="D32" s="17"/>
      <c r="E32" s="17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2020-02-19T07:14:42Z</cp:lastPrinted>
  <dcterms:created xsi:type="dcterms:W3CDTF">2016-02-16T05:22:24Z</dcterms:created>
  <dcterms:modified xsi:type="dcterms:W3CDTF">2020-03-19T07:02:27Z</dcterms:modified>
  <cp:category/>
  <cp:version/>
  <cp:contentType/>
  <cp:contentStatus/>
</cp:coreProperties>
</file>