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<sst xmlns="http://schemas.openxmlformats.org/spreadsheetml/2006/main" count="36" uniqueCount="36">
  <si>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</si>
  <si>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</si>
  <si>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</si>
  <si>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</si>
  <si>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</si>
  <si>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</si>
  <si>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</si>
  <si>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</si>
  <si>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</si>
  <si>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</si>
  <si>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</si>
  <si>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</si>
  <si>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</si>
  <si>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</si>
  <si>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</si>
  <si>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</si>
  <si>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</si>
  <si>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</si>
  <si>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</si>
  <si>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</si>
  <si>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</si>
  <si>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</si>
  <si>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</si>
  <si>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</si>
  <si>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</si>
  <si>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218,00 - замена сгона на отопительном приборе в 1ом подъезде.</t>
  </si>
  <si>
    <t>4765,00 - ремонт кровликв. 176, 177 и шахты лифта.                                                         2944,00 - ремонт участка канализационного стояка в кв. 71.                   748,00 - замена автоматического выключателя во 2ом подъезде.</t>
  </si>
  <si>
    <t>1164,00 - установка светильника на 6 этаже 1ого подъезда.                                        30000,00 - новых контейнеров в мусоропроводе (6 шт.).</t>
  </si>
  <si>
    <t>1685,00 - замена резьб на трубопроводе отопления в подвале.</t>
  </si>
  <si>
    <t>7500,00 - ремонт швов кв. 11.</t>
  </si>
  <si>
    <t xml:space="preserve">2947,00 - замена доводчика на входной двери 5 подъезда.                                                    3557,00 - замена воздухоотводчиков в кв. 71, 353, 321, 239, 241, 229.                                  3640,00 - ремонт межпанельных стыков в кв. 11.                                                       12987,00 - промазка швов герметиком кв. 35 (балкон).                                                                                                              </t>
  </si>
  <si>
    <t>1683,00 - устройство перемычки на трубопроводе отопления в МОП (1 подъезд).                                                                 149452,00 - установка светильников в МОП (70 шт.).                                                                 1786,00 - установка светильников в МОП (2 шт.).                                                                              6829,00 - замена стояка канализации в кв. 316, 320.                                                                 677,00 - замена участка трубопровода отопления в МОП (5 подъезд).                                    9253,00 - замена участка трубопровода отопления в подвале.                                                          4714,00 - замена стояка канализации в кв. 350, 354.                                                                           17273,00 - замена запорной арматуры на стояках отопления в 10 подъезде.                       25629,00 - ремонт кровли козырьков 7, 8 подъездов и ремонт мксороприемных камер 7, 8, 10 подъездов.</t>
  </si>
  <si>
    <t>1458,00 - ремонт стояка ХВС.                                 1057,00-  ремонт трубопровода ГВС.                 1191,00 - замена вентиля на стояке ХВС.     2286,00 - замена запорной арматуры на трубопроводе отопления (10 подъезд).           11000,00 - дезинсекция блох в подвале.</t>
  </si>
  <si>
    <t>13115,00 - замена кранов отопления (10 подъезд).                                                            4350,00 - установка отопительного прибора в кв. 240.                                              6250,00 - ремонт межпанельных стыков в кв. 39.                                                                       41658,00 - замена задвижек на тепловом узле (1 подъезд-2шт., 2 подъезд-2шт., 3 подъезд-2шт., 4 подъезд-2шт., 5 подъезд-1шт., 6 подъезд-2шт., 8 подъезд-2шт., 9 подъезд-2шт., 10 подъезд-2шт.).                          1769,00 - замена участка трубопровода ХВС в кв. 266.                                                     10120,00 - ремонт порожков 7ого подъезда.                                                                     2803,00 - ремонт трубопровода отопления.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</si>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</sst>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25113</v>
          </cell>
          <cell r="AB7">
            <v>15057</v>
          </cell>
          <cell r="AC7">
            <v>4786</v>
          </cell>
          <cell r="AE7">
            <v>88958.42</v>
          </cell>
          <cell r="AF7">
            <v>-71820.30000000003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U54">
            <v>4769</v>
          </cell>
          <cell r="AA54">
            <v>4024</v>
          </cell>
          <cell r="AB54">
            <v>29582</v>
          </cell>
          <cell r="AD54">
            <v>51823</v>
          </cell>
          <cell r="AE54">
            <v>94690</v>
          </cell>
          <cell r="AF54">
            <v>108836.59999999995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AE57">
            <v>0</v>
          </cell>
          <cell r="AF57">
            <v>27989.32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12126</v>
          </cell>
          <cell r="AF73">
            <v>432609.44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16992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386518</v>
          </cell>
          <cell r="AF78">
            <v>1207236.0800000003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S81">
            <v>7000</v>
          </cell>
          <cell r="Z81">
            <v>9500</v>
          </cell>
          <cell r="AB81">
            <v>13267</v>
          </cell>
          <cell r="AE81">
            <v>29767</v>
          </cell>
          <cell r="AF81">
            <v>270734.6899999998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3657</v>
          </cell>
          <cell r="AB97">
            <v>938</v>
          </cell>
          <cell r="AC97">
            <v>3868</v>
          </cell>
          <cell r="AD97">
            <v>3060</v>
          </cell>
          <cell r="AE97">
            <v>119875</v>
          </cell>
          <cell r="AF97">
            <v>522261.0600000002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707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35</v>
      </c>
      <c r="B3" s="28"/>
      <c r="C3" s="28"/>
      <c r="D3" s="28"/>
      <c r="E3" s="28"/>
    </row>
    <row r="4" spans="1:5" ht="18.75" customHeight="1">
      <c r="A4" s="29" t="s">
        <v>23</v>
      </c>
      <c r="B4" s="30"/>
      <c r="C4" s="30"/>
      <c r="D4" s="30"/>
      <c r="E4" s="30"/>
    </row>
    <row r="5" spans="1:5" ht="30.75" customHeight="1">
      <c r="A5" s="25" t="str">
        <f>VLOOKUP(A1,'[2]2019'!$A$1:$AH$99,2,0)</f>
        <v>ул.Харьковская д.22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VLOOKUP(A1,'[1]ТР 2018'!$A$1:$AH$101,3,0)</f>
        <v>18825.56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52146.8012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34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VLOOKUP(A1,'[2]2019'!$A$1:$AH$101,4,0)</f>
        <v>995026.8400000003</v>
      </c>
    </row>
    <row r="12" spans="1:5" ht="31.5">
      <c r="A12" s="3">
        <v>1</v>
      </c>
      <c r="B12" s="12" t="s">
        <v>4</v>
      </c>
      <c r="C12" s="8">
        <f>VLOOKUP(A1,'[2]2019'!$A$1:$AH$101,5,0)</f>
        <v>48496.49</v>
      </c>
      <c r="D12" s="8">
        <f>VLOOKUP(A1,'[2]2019'!$A$1:$AH$101,19,0)</f>
        <v>218</v>
      </c>
      <c r="E12" s="10" t="s">
        <v>25</v>
      </c>
    </row>
    <row r="13" spans="1:5" ht="96.75" customHeight="1">
      <c r="A13" s="3">
        <v>2</v>
      </c>
      <c r="B13" s="12" t="s">
        <v>5</v>
      </c>
      <c r="C13" s="8">
        <f>VLOOKUP(A1,'[2]2019'!$A$1:$AH$101,6,0)</f>
        <v>48232.64</v>
      </c>
      <c r="D13" s="8">
        <f>VLOOKUP(A1,'[2]2019'!$A$1:$AH$101,20,0)</f>
        <v>8457</v>
      </c>
      <c r="E13" s="10" t="s">
        <v>26</v>
      </c>
    </row>
    <row r="14" spans="1:5" ht="62.25" customHeight="1">
      <c r="A14" s="3">
        <v>3</v>
      </c>
      <c r="B14" s="12" t="s">
        <v>6</v>
      </c>
      <c r="C14" s="8">
        <f>VLOOKUP(A1,'[2]2019'!$A$1:$AH$101,7,0)</f>
        <v>50875.61</v>
      </c>
      <c r="D14" s="8">
        <f>VLOOKUP(A1,'[2]2019'!$A$1:$AH$101,21,0)</f>
        <v>31164</v>
      </c>
      <c r="E14" s="10" t="s">
        <v>27</v>
      </c>
    </row>
    <row r="15" spans="1:5" ht="31.5">
      <c r="A15" s="3">
        <v>4</v>
      </c>
      <c r="B15" s="12" t="s">
        <v>7</v>
      </c>
      <c r="C15" s="8">
        <f>VLOOKUP(A1,'[2]2019'!$A$1:$AH$101,8,0)</f>
        <v>48995.12</v>
      </c>
      <c r="D15" s="8">
        <f>VLOOKUP(A1,'[2]2019'!$A$1:$AH$101,22,0)</f>
        <v>1685</v>
      </c>
      <c r="E15" s="10" t="s">
        <v>28</v>
      </c>
    </row>
    <row r="16" spans="1:5" ht="15.75">
      <c r="A16" s="3">
        <v>5</v>
      </c>
      <c r="B16" s="12" t="s">
        <v>8</v>
      </c>
      <c r="C16" s="8">
        <f>VLOOKUP(A1,'[2]2019'!$A$1:$AH$101,9,0)</f>
        <v>49403.62</v>
      </c>
      <c r="D16" s="8">
        <f>VLOOKUP(A1,'[2]2019'!$A$1:$AH$101,23,0)</f>
        <v>0</v>
      </c>
      <c r="E16" s="10"/>
    </row>
    <row r="17" spans="1:5" ht="93.75" customHeight="1">
      <c r="A17" s="3">
        <v>6</v>
      </c>
      <c r="B17" s="12" t="s">
        <v>9</v>
      </c>
      <c r="C17" s="8">
        <f>VLOOKUP(A1,'[2]2019'!$A$1:$AH$101,10,0)</f>
        <v>47772.450000000004</v>
      </c>
      <c r="D17" s="8">
        <f>VLOOKUP(A1,'[2]2019'!$A$1:$AH$101,24,0)</f>
        <v>16992</v>
      </c>
      <c r="E17" s="10" t="s">
        <v>32</v>
      </c>
    </row>
    <row r="18" spans="1:5" ht="15.75">
      <c r="A18" s="3">
        <v>7</v>
      </c>
      <c r="B18" s="4" t="s">
        <v>10</v>
      </c>
      <c r="C18" s="8">
        <f>VLOOKUP(A1,'[2]2019'!$A$1:$AH$101,11,0)</f>
        <v>49619.53</v>
      </c>
      <c r="D18" s="8">
        <f>VLOOKUP(A1,'[2]2019'!$A$1:$AH$101,25,0)</f>
        <v>7500</v>
      </c>
      <c r="E18" s="10" t="s">
        <v>29</v>
      </c>
    </row>
    <row r="19" spans="1:5" ht="15.75">
      <c r="A19" s="3">
        <v>8</v>
      </c>
      <c r="B19" s="4" t="s">
        <v>11</v>
      </c>
      <c r="C19" s="8">
        <f>VLOOKUP(A1,'[2]2019'!$A$1:$AH$101,12,0)</f>
        <v>49953.9</v>
      </c>
      <c r="D19" s="8">
        <f>VLOOKUP(A1,'[2]2019'!$A$1:$AH$102,26,0)</f>
        <v>0</v>
      </c>
      <c r="E19" s="10"/>
    </row>
    <row r="20" spans="1:5" ht="15.75">
      <c r="A20" s="3">
        <v>9</v>
      </c>
      <c r="B20" s="4" t="s">
        <v>12</v>
      </c>
      <c r="C20" s="8">
        <f>VLOOKUP(A1,'[2]2019'!$A$1:$AH$101,13,0)</f>
        <v>47597.93</v>
      </c>
      <c r="D20" s="8">
        <f>VLOOKUP(A1,'[2]2019'!$A$1:$AH$101,27,0)</f>
        <v>0</v>
      </c>
      <c r="E20" s="10"/>
    </row>
    <row r="21" spans="1:5" ht="272.25" customHeight="1">
      <c r="A21" s="3">
        <v>10</v>
      </c>
      <c r="B21" s="12" t="s">
        <v>13</v>
      </c>
      <c r="C21" s="8">
        <f>VLOOKUP(A1,'[2]2019'!$A$1:$AH$101,14,0)</f>
        <v>49670.75</v>
      </c>
      <c r="D21" s="8">
        <f>VLOOKUP(A1,'[2]2019'!$A$1:$AH$101,28,0)</f>
        <v>80065</v>
      </c>
      <c r="E21" s="10" t="s">
        <v>33</v>
      </c>
    </row>
    <row r="22" spans="1:5" ht="126">
      <c r="A22" s="3">
        <v>11</v>
      </c>
      <c r="B22" s="12" t="s">
        <v>14</v>
      </c>
      <c r="C22" s="8">
        <f>VLOOKUP(A1,'[2]2019'!$A$1:$AH$101,15,0)</f>
        <v>44149.01</v>
      </c>
      <c r="D22" s="8">
        <f>VLOOKUP(A1,'[2]2019'!$A$1:$AH$101,29,0)</f>
        <v>23131</v>
      </c>
      <c r="E22" s="10" t="s">
        <v>30</v>
      </c>
    </row>
    <row r="23" spans="1:5" ht="315.75" customHeight="1">
      <c r="A23" s="3">
        <v>12</v>
      </c>
      <c r="B23" s="12" t="s">
        <v>15</v>
      </c>
      <c r="C23" s="8">
        <f>VLOOKUP(A1,'[2]2019'!$A$1:$AH$101,16,0)</f>
        <v>63960.19</v>
      </c>
      <c r="D23" s="8">
        <f>VLOOKUP(A1,'[2]2019'!$A$1:$AH$101,30,0)</f>
        <v>217306</v>
      </c>
      <c r="E23" s="10" t="s">
        <v>31</v>
      </c>
    </row>
    <row r="24" spans="1:5" ht="15.75">
      <c r="A24" s="22" t="s">
        <v>16</v>
      </c>
      <c r="B24" s="23"/>
      <c r="C24" s="9">
        <f>SUM(C12:C23)</f>
        <v>598727.24</v>
      </c>
      <c r="D24" s="9">
        <f>SUM(D12:D23)</f>
        <v>386518</v>
      </c>
      <c r="E24" s="11"/>
    </row>
    <row r="25" spans="1:5" ht="15.75">
      <c r="A25" s="19" t="s">
        <v>24</v>
      </c>
      <c r="B25" s="20"/>
      <c r="C25" s="20"/>
      <c r="D25" s="20"/>
      <c r="E25" s="17">
        <f>E11+C24-D24</f>
        <v>1207236.0800000003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2020-02-19T05:58:03Z</cp:lastPrinted>
  <dcterms:created xsi:type="dcterms:W3CDTF">2016-02-16T05:22:24Z</dcterms:created>
  <dcterms:modified xsi:type="dcterms:W3CDTF">2020-03-19T06:28:12Z</dcterms:modified>
  <cp:category/>
  <cp:version/>
  <cp:contentType/>
  <cp:contentStatus/>
</cp:coreProperties>
</file>