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<sst xmlns="http://schemas.openxmlformats.org/spreadsheetml/2006/main" count="35" uniqueCount="35">
  <si>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</si>
  <si>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</si>
  <si>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</si>
  <si>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</si>
  <si>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</si>
  <si>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</si>
  <si>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</si>
  <si>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</si>
  <si>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</si>
  <si>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</si>
  <si>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</si>
  <si>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</si>
  <si>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</si>
  <si>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</si>
  <si>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</si>
  <si>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</si>
  <si>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</si>
  <si>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</si>
  <si>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</si>
  <si>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</si>
  <si>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</si>
  <si>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</si>
  <si>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</si>
  <si>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за 2019 год</t>
  </si>
  <si>
    <t xml:space="preserve">Остаток денежных средств на 01.01.2020 г. : </t>
  </si>
  <si>
    <t>14460,00 - замена силового шкафа ВРУ.            2253,00 - замена трубопровода канализации в подвале.</t>
  </si>
  <si>
    <t>615,00 - замена вентиля по стояку кв. 85.</t>
  </si>
  <si>
    <t>1385,00 - ремонт трубопровода канализации.                                            33200,00 - замена окон из ПВХ (6 подъезд).</t>
  </si>
  <si>
    <t xml:space="preserve">9180,00 - замена задвижек в узле ввода ГВС.                                                                93827,00 - ремонт кровли (в 1 слой).                                    60806,00 - ремонт 6ого подъезда.                       3300,00 - дезинсекция блох.                </t>
  </si>
  <si>
    <t xml:space="preserve">1215,00 - замена участка трубопровода канализации по стояку кв. 86.                         12536,00 - замена задвижек на трубопроводе ГВС в подвале.                         190277,00 - установка ОПУ отопления.            </t>
  </si>
  <si>
    <t>23609,00 - ремонт кровли 5ого подъезда.   1617,00 - ремонт скамеек.</t>
  </si>
  <si>
    <t>2895,00 - ремонт ступеней крыльца входа во 2ой подъезд с устройством металлического обрамления и цементной стяжкой.                                                           805,00 - замена участка трубопровода ГВС в подвале.                                             520,00 - замена  крана на стояке ГВС в подвале 6ого подъезда.</t>
  </si>
  <si>
    <t>25810,00 - подготовка проектной документации на узел учета тепла.</t>
  </si>
  <si>
    <t>Месяц 2019 г.</t>
  </si>
  <si>
    <t>ОТЧЕТ О ПОСТУПЛЕНИИ И РАСХОДОВАНИИ ДЕНЕЖНЫХ СРЕДСТВ ПО СТАТЬЕ "ТЕКУЩИЙ РЕМОНТ"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</si>
</sst>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16168</v>
          </cell>
          <cell r="AE33">
            <v>224132</v>
          </cell>
          <cell r="AF33">
            <v>101137.20000000007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13498</v>
          </cell>
          <cell r="AE35">
            <v>30795</v>
          </cell>
          <cell r="AF35">
            <v>339060.32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  <row r="102">
          <cell r="B102" t="str">
            <v>ИТОГО:</v>
          </cell>
          <cell r="C102">
            <v>342478.5700000001</v>
          </cell>
          <cell r="D102">
            <v>21595929.50000001</v>
          </cell>
          <cell r="E102">
            <v>852700.0299999999</v>
          </cell>
          <cell r="F102">
            <v>814757.3799999999</v>
          </cell>
          <cell r="G102">
            <v>858528.0199999999</v>
          </cell>
          <cell r="H102">
            <v>892270.3099999998</v>
          </cell>
          <cell r="I102">
            <v>901833.9700000002</v>
          </cell>
          <cell r="J102">
            <v>843619.3200000001</v>
          </cell>
          <cell r="K102">
            <v>842928.1100000003</v>
          </cell>
          <cell r="L102">
            <v>848996.61</v>
          </cell>
          <cell r="M102">
            <v>851867.0699999997</v>
          </cell>
          <cell r="N102">
            <v>854768.9499999997</v>
          </cell>
          <cell r="O102">
            <v>892843.8500000003</v>
          </cell>
          <cell r="P102">
            <v>1059285.14</v>
          </cell>
          <cell r="Q102">
            <v>0</v>
          </cell>
          <cell r="R102">
            <v>10514398.76</v>
          </cell>
          <cell r="S102">
            <v>1142697</v>
          </cell>
          <cell r="T102">
            <v>401454</v>
          </cell>
          <cell r="U102">
            <v>471277</v>
          </cell>
          <cell r="V102">
            <v>848323</v>
          </cell>
          <cell r="W102">
            <v>581082</v>
          </cell>
          <cell r="X102">
            <v>249238</v>
          </cell>
          <cell r="Y102">
            <v>383016.42</v>
          </cell>
          <cell r="Z102">
            <v>663946</v>
          </cell>
          <cell r="AA102">
            <v>478586</v>
          </cell>
          <cell r="AB102">
            <v>1933406</v>
          </cell>
          <cell r="AC102">
            <v>945501</v>
          </cell>
          <cell r="AD102">
            <v>1990398</v>
          </cell>
          <cell r="AE102">
            <v>10088924.42</v>
          </cell>
          <cell r="AF102">
            <v>22021403.839999996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1965</v>
      </c>
      <c r="B1" s="24"/>
      <c r="C1" s="24"/>
      <c r="D1" s="24"/>
      <c r="E1" s="24"/>
    </row>
    <row r="2" spans="1:5" ht="24.75" customHeight="1">
      <c r="A2" s="26" t="s">
        <v>20</v>
      </c>
      <c r="B2" s="26"/>
      <c r="C2" s="26"/>
      <c r="D2" s="26"/>
      <c r="E2" s="26"/>
    </row>
    <row r="3" spans="1:5" ht="41.25" customHeight="1">
      <c r="A3" s="27" t="s">
        <v>34</v>
      </c>
      <c r="B3" s="28"/>
      <c r="C3" s="28"/>
      <c r="D3" s="28"/>
      <c r="E3" s="28"/>
    </row>
    <row r="4" spans="1:5" ht="18.75" customHeight="1">
      <c r="A4" s="29" t="s">
        <v>23</v>
      </c>
      <c r="B4" s="30"/>
      <c r="C4" s="30"/>
      <c r="D4" s="30"/>
      <c r="E4" s="30"/>
    </row>
    <row r="5" spans="1:5" ht="30.75" customHeight="1">
      <c r="A5" s="25" t="str">
        <f>VLOOKUP(A1,'[1]ТР 2017'!$A$1:$AH$99,2,0)</f>
        <v>ПРОЕЗД Магистральный д.16д</v>
      </c>
      <c r="B5" s="25"/>
      <c r="C5" s="25"/>
      <c r="D5" s="25"/>
      <c r="E5" s="25"/>
    </row>
    <row r="6" spans="1:5" ht="15.75" customHeight="1">
      <c r="A6" s="21" t="s">
        <v>17</v>
      </c>
      <c r="B6" s="21"/>
      <c r="C6" s="21"/>
      <c r="D6" s="21"/>
      <c r="E6" s="5">
        <f>VLOOKUP(A1,'[2]ТР 2018'!$A$1:$AH$101,3,0)</f>
        <v>4033.65</v>
      </c>
    </row>
    <row r="7" spans="1:5" ht="15" customHeight="1">
      <c r="A7" s="21" t="s">
        <v>18</v>
      </c>
      <c r="B7" s="21"/>
      <c r="C7" s="21"/>
      <c r="D7" s="21"/>
      <c r="E7" s="5">
        <v>2.77</v>
      </c>
    </row>
    <row r="8" spans="1:5" ht="33" customHeight="1">
      <c r="A8" s="21" t="s">
        <v>19</v>
      </c>
      <c r="B8" s="21"/>
      <c r="C8" s="21"/>
      <c r="D8" s="21"/>
      <c r="E8" s="15">
        <f>E7*E6</f>
        <v>11173.210500000001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33</v>
      </c>
      <c r="C10" s="2" t="s">
        <v>2</v>
      </c>
      <c r="D10" s="2" t="s">
        <v>3</v>
      </c>
      <c r="E10" s="2" t="s">
        <v>0</v>
      </c>
    </row>
    <row r="11" spans="1:5" ht="15.75">
      <c r="A11" s="19" t="s">
        <v>22</v>
      </c>
      <c r="B11" s="20"/>
      <c r="C11" s="20"/>
      <c r="D11" s="20"/>
      <c r="E11" s="6">
        <f>VLOOKUP(A1,'[3]2019'!$A$1:$AH$101,4,0)</f>
        <v>391258.65</v>
      </c>
    </row>
    <row r="12" spans="1:5" ht="31.5">
      <c r="A12" s="3">
        <v>1</v>
      </c>
      <c r="B12" s="12" t="s">
        <v>4</v>
      </c>
      <c r="C12" s="8">
        <f>VLOOKUP(A1,'[3]2019'!$A$1:$AH$101,5,0)</f>
        <v>8906.58</v>
      </c>
      <c r="D12" s="8">
        <f>VLOOKUP(A1,'[3]2019'!$A$1:$AH$101,19,0)</f>
        <v>25810</v>
      </c>
      <c r="E12" s="10" t="s">
        <v>32</v>
      </c>
    </row>
    <row r="13" spans="1:5" ht="48" customHeight="1">
      <c r="A13" s="3">
        <v>2</v>
      </c>
      <c r="B13" s="12" t="s">
        <v>5</v>
      </c>
      <c r="C13" s="8">
        <f>VLOOKUP(A1,'[3]2019'!$A$1:$AH$101,6,0)</f>
        <v>9244.07</v>
      </c>
      <c r="D13" s="8">
        <f>VLOOKUP(A1,'[3]2019'!$A$1:$AH$101,20,0)</f>
        <v>16713</v>
      </c>
      <c r="E13" s="10" t="s">
        <v>25</v>
      </c>
    </row>
    <row r="14" spans="1:5" ht="15.75" customHeight="1">
      <c r="A14" s="3">
        <v>3</v>
      </c>
      <c r="B14" s="12" t="s">
        <v>6</v>
      </c>
      <c r="C14" s="8">
        <f>VLOOKUP(A1,'[3]2019'!$A$1:$AH$101,7,0)</f>
        <v>9820.74</v>
      </c>
      <c r="D14" s="8">
        <f>VLOOKUP(A1,'[3]2019'!$A$1:$AH$101,21,0)</f>
        <v>0</v>
      </c>
      <c r="E14" s="10"/>
    </row>
    <row r="15" spans="1:5" ht="17.25" customHeight="1">
      <c r="A15" s="3">
        <v>4</v>
      </c>
      <c r="B15" s="4" t="s">
        <v>7</v>
      </c>
      <c r="C15" s="8">
        <f>VLOOKUP(A1,'[3]2019'!$A$1:$AH$101,8,0)</f>
        <v>9509.919999999998</v>
      </c>
      <c r="D15" s="8">
        <f>VLOOKUP(A1,'[3]2019'!$A$1:$AH$101,22,0)</f>
        <v>615</v>
      </c>
      <c r="E15" s="10" t="s">
        <v>26</v>
      </c>
    </row>
    <row r="16" spans="1:5" ht="15.75">
      <c r="A16" s="3">
        <v>5</v>
      </c>
      <c r="B16" s="12" t="s">
        <v>8</v>
      </c>
      <c r="C16" s="8">
        <f>VLOOKUP(A1,'[3]2019'!$A$1:$AH$101,9,0)</f>
        <v>9928.17</v>
      </c>
      <c r="D16" s="8">
        <f>VLOOKUP(A1,'[3]2019'!$A$1:$AH$101,23,0)</f>
        <v>0</v>
      </c>
      <c r="E16" s="10"/>
    </row>
    <row r="17" spans="1:5" ht="63">
      <c r="A17" s="3">
        <v>6</v>
      </c>
      <c r="B17" s="12" t="s">
        <v>9</v>
      </c>
      <c r="C17" s="8">
        <f>VLOOKUP(A1,'[3]2019'!$A$1:$AH$101,10,0)</f>
        <v>9091.59</v>
      </c>
      <c r="D17" s="8">
        <f>VLOOKUP(A1,'[3]2019'!$A$1:$AH$101,24,0)</f>
        <v>34585</v>
      </c>
      <c r="E17" s="10" t="s">
        <v>27</v>
      </c>
    </row>
    <row r="18" spans="1:5" ht="15.75">
      <c r="A18" s="3">
        <v>7</v>
      </c>
      <c r="B18" s="4" t="s">
        <v>10</v>
      </c>
      <c r="C18" s="8">
        <f>VLOOKUP(A1,'[3]2019'!$A$1:$AH$101,11,0)</f>
        <v>10097.85</v>
      </c>
      <c r="D18" s="8">
        <f>VLOOKUP(A1,'[3]2019'!$A$1:$AH$101,25,0)</f>
        <v>0</v>
      </c>
      <c r="E18" s="10"/>
    </row>
    <row r="19" spans="1:5" ht="78.75">
      <c r="A19" s="3">
        <v>8</v>
      </c>
      <c r="B19" s="12" t="s">
        <v>11</v>
      </c>
      <c r="C19" s="8">
        <f>VLOOKUP(A1,'[3]2019'!$A$1:$AH$101,12,0)</f>
        <v>8953.710000000001</v>
      </c>
      <c r="D19" s="8">
        <f>VLOOKUP(A1,'[3]2019'!$A$1:$AH$102,26,0)</f>
        <v>167113</v>
      </c>
      <c r="E19" s="10" t="s">
        <v>28</v>
      </c>
    </row>
    <row r="20" spans="1:5" ht="15.75">
      <c r="A20" s="3">
        <v>9</v>
      </c>
      <c r="B20" s="4" t="s">
        <v>12</v>
      </c>
      <c r="C20" s="8">
        <f>VLOOKUP(A1,'[3]2019'!$A$1:$AH$101,13,0)</f>
        <v>9570.62</v>
      </c>
      <c r="D20" s="8">
        <f>VLOOKUP(A1,'[3]2019'!$A$1:$AH$101,27,0)</f>
        <v>0</v>
      </c>
      <c r="E20" s="10"/>
    </row>
    <row r="21" spans="1:5" ht="78.75">
      <c r="A21" s="3">
        <v>10</v>
      </c>
      <c r="B21" s="12" t="s">
        <v>13</v>
      </c>
      <c r="C21" s="8">
        <f>VLOOKUP(A1,'[3]2019'!$A$1:$AH$101,14,0)</f>
        <v>9133.26</v>
      </c>
      <c r="D21" s="8">
        <f>VLOOKUP(A1,'[3]2019'!$A$1:$AH$101,28,0)</f>
        <v>204028</v>
      </c>
      <c r="E21" s="10" t="s">
        <v>29</v>
      </c>
    </row>
    <row r="22" spans="1:5" ht="31.5">
      <c r="A22" s="3">
        <v>11</v>
      </c>
      <c r="B22" s="12" t="s">
        <v>14</v>
      </c>
      <c r="C22" s="8">
        <f>VLOOKUP(A1,'[3]2019'!$A$1:$AH$101,15,0)</f>
        <v>8854.08</v>
      </c>
      <c r="D22" s="8">
        <f>VLOOKUP(A1,'[3]2019'!$A$1:$AH$101,29,0)</f>
        <v>25226</v>
      </c>
      <c r="E22" s="10" t="s">
        <v>30</v>
      </c>
    </row>
    <row r="23" spans="1:5" ht="125.25" customHeight="1">
      <c r="A23" s="3">
        <v>12</v>
      </c>
      <c r="B23" s="12" t="s">
        <v>15</v>
      </c>
      <c r="C23" s="8">
        <f>VLOOKUP(A1,'[3]2019'!$A$1:$AH$101,16,0)</f>
        <v>12712.15</v>
      </c>
      <c r="D23" s="8">
        <f>VLOOKUP(A1,'[3]2019'!$A$1:$AH$101,30,0)</f>
        <v>4220</v>
      </c>
      <c r="E23" s="10" t="s">
        <v>31</v>
      </c>
    </row>
    <row r="24" spans="1:5" ht="15.75">
      <c r="A24" s="22" t="s">
        <v>16</v>
      </c>
      <c r="B24" s="23"/>
      <c r="C24" s="9">
        <f>SUM(C12:C23)</f>
        <v>115822.73999999999</v>
      </c>
      <c r="D24" s="9">
        <f>SUM(D12:D23)</f>
        <v>478310</v>
      </c>
      <c r="E24" s="11"/>
    </row>
    <row r="25" spans="1:5" ht="15.75">
      <c r="A25" s="19" t="s">
        <v>24</v>
      </c>
      <c r="B25" s="20"/>
      <c r="C25" s="20"/>
      <c r="D25" s="20"/>
      <c r="E25" s="17">
        <f>E11+C24-D24</f>
        <v>28771.390000000014</v>
      </c>
    </row>
    <row r="29" spans="1:5" ht="18.75">
      <c r="A29" s="18" t="s">
        <v>21</v>
      </c>
      <c r="B29" s="18"/>
      <c r="C29" s="18"/>
      <c r="D29" s="18"/>
      <c r="E29" s="18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18"/>
      <c r="B32" s="18"/>
      <c r="C32" s="18"/>
      <c r="D32" s="18"/>
      <c r="E32" s="18"/>
    </row>
  </sheetData>
  <sheetProtection/>
  <mergeCells count="13">
    <mergeCell ref="B1:E1"/>
    <mergeCell ref="A5:E5"/>
    <mergeCell ref="A2:E2"/>
    <mergeCell ref="A3:E3"/>
    <mergeCell ref="A4:E4"/>
    <mergeCell ref="A29:E29"/>
    <mergeCell ref="A32:E32"/>
    <mergeCell ref="A11:D11"/>
    <mergeCell ref="A25:D25"/>
    <mergeCell ref="A6:D6"/>
    <mergeCell ref="A8:D8"/>
    <mergeCell ref="A24:B24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2020-03-19T06:21:47Z</dcterms:modified>
  <cp:category/>
  <cp:version/>
  <cp:contentType/>
  <cp:contentStatus/>
</cp:coreProperties>
</file>